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ACOVNÍ DOKUMENTY\2025\SPRÁVCE ROZPOČTU\EO\Návrh rozpočtu na rok 2026\návrh rozpočtu podle tříd a žáků + PLATOVÉ INVENTURY A ONIV\"/>
    </mc:Choice>
  </mc:AlternateContent>
  <xr:revisionPtr revIDLastSave="0" documentId="13_ncr:1_{AB6A90E9-E6FE-4BE1-8060-6120FE54EB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Š včetně odpisů" sheetId="8" r:id="rId1"/>
    <sheet name="List1" sheetId="11" r:id="rId2"/>
  </sheets>
  <definedNames>
    <definedName name="_xlnm.Print_Area" localSheetId="0">'ZŠ včetně odpisů'!$A$1:$P$30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1" i="8" l="1"/>
  <c r="P17" i="8"/>
  <c r="P16" i="8"/>
  <c r="P15" i="8"/>
  <c r="P11" i="8"/>
  <c r="P19" i="8"/>
  <c r="P20" i="8"/>
  <c r="P18" i="8" l="1"/>
  <c r="P14" i="8"/>
  <c r="P13" i="8"/>
  <c r="P12" i="8"/>
  <c r="P10" i="8"/>
  <c r="P9" i="8"/>
  <c r="P8" i="8"/>
  <c r="P7" i="8"/>
  <c r="P6" i="8"/>
  <c r="I21" i="8"/>
  <c r="C17" i="8"/>
  <c r="C16" i="8"/>
  <c r="C10" i="8"/>
  <c r="C19" i="8"/>
  <c r="C18" i="8"/>
  <c r="C13" i="8"/>
  <c r="C6" i="8"/>
  <c r="J8" i="8" l="1"/>
  <c r="J9" i="8"/>
  <c r="J10" i="8"/>
  <c r="J11" i="8"/>
  <c r="J12" i="8"/>
  <c r="J13" i="8"/>
  <c r="J14" i="8"/>
  <c r="J15" i="8"/>
  <c r="J16" i="8"/>
  <c r="J17" i="8"/>
  <c r="J18" i="8"/>
  <c r="J19" i="8"/>
  <c r="J20" i="8"/>
  <c r="J7" i="8"/>
  <c r="J6" i="8"/>
  <c r="J21" i="8" s="1"/>
  <c r="C15" i="8" l="1"/>
  <c r="D4" i="8"/>
  <c r="E5" i="8"/>
  <c r="G10" i="8" l="1"/>
  <c r="G16" i="8"/>
  <c r="C20" i="8"/>
  <c r="C8" i="8"/>
  <c r="C9" i="8"/>
  <c r="C11" i="8"/>
  <c r="C12" i="8"/>
  <c r="C14" i="8"/>
  <c r="C7" i="8"/>
  <c r="H18" i="8" l="1"/>
  <c r="H12" i="8"/>
  <c r="H7" i="8"/>
  <c r="H21" i="8" l="1"/>
  <c r="B21" i="8"/>
  <c r="D10" i="8" l="1"/>
  <c r="C21" i="8" l="1"/>
  <c r="M21" i="8" l="1"/>
  <c r="F20" i="8" l="1"/>
  <c r="F19" i="8"/>
  <c r="F18" i="8"/>
  <c r="F17" i="8"/>
  <c r="F16" i="8"/>
  <c r="F15" i="8"/>
  <c r="F14" i="8"/>
  <c r="F13" i="8"/>
  <c r="F12" i="8"/>
  <c r="F10" i="8"/>
  <c r="F9" i="8"/>
  <c r="F8" i="8"/>
  <c r="F7" i="8"/>
  <c r="F11" i="8"/>
  <c r="F6" i="8"/>
  <c r="E21" i="8"/>
  <c r="K10" i="8" l="1"/>
  <c r="L10" i="8"/>
  <c r="O10" i="8" s="1"/>
  <c r="K13" i="8"/>
  <c r="N13" i="8" s="1"/>
  <c r="L13" i="8"/>
  <c r="O13" i="8" s="1"/>
  <c r="K6" i="8"/>
  <c r="N6" i="8" s="1"/>
  <c r="L6" i="8"/>
  <c r="K8" i="8"/>
  <c r="N8" i="8" s="1"/>
  <c r="L8" i="8"/>
  <c r="O8" i="8" s="1"/>
  <c r="K14" i="8"/>
  <c r="N14" i="8" s="1"/>
  <c r="L14" i="8"/>
  <c r="O14" i="8" s="1"/>
  <c r="K16" i="8"/>
  <c r="N16" i="8" s="1"/>
  <c r="L16" i="8"/>
  <c r="O16" i="8" s="1"/>
  <c r="K19" i="8"/>
  <c r="L19" i="8"/>
  <c r="O19" i="8" s="1"/>
  <c r="K9" i="8"/>
  <c r="L9" i="8"/>
  <c r="O9" i="8" s="1"/>
  <c r="K12" i="8"/>
  <c r="L12" i="8"/>
  <c r="O12" i="8" s="1"/>
  <c r="K15" i="8"/>
  <c r="N15" i="8" s="1"/>
  <c r="L15" i="8"/>
  <c r="O15" i="8" s="1"/>
  <c r="K17" i="8"/>
  <c r="N17" i="8" s="1"/>
  <c r="L17" i="8"/>
  <c r="O17" i="8" s="1"/>
  <c r="K18" i="8"/>
  <c r="N18" i="8" s="1"/>
  <c r="L18" i="8"/>
  <c r="O18" i="8" s="1"/>
  <c r="K11" i="8"/>
  <c r="N11" i="8" s="1"/>
  <c r="L11" i="8"/>
  <c r="O11" i="8" s="1"/>
  <c r="K7" i="8"/>
  <c r="L7" i="8"/>
  <c r="O7" i="8" s="1"/>
  <c r="K20" i="8"/>
  <c r="L20" i="8"/>
  <c r="O20" i="8" s="1"/>
  <c r="N9" i="8"/>
  <c r="N7" i="8"/>
  <c r="N12" i="8"/>
  <c r="N20" i="8"/>
  <c r="N10" i="8"/>
  <c r="N19" i="8"/>
  <c r="L21" i="8" l="1"/>
  <c r="O6" i="8"/>
  <c r="O21" i="8" s="1"/>
  <c r="K21" i="8"/>
  <c r="G21" i="8"/>
  <c r="D21" i="8"/>
  <c r="N21" i="8" l="1"/>
  <c r="F2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Pilařová Kateřina Ing. (P8)</author>
  </authors>
  <commentList>
    <comment ref="G7" authorId="0" shapeId="0" xr:uid="{AFD81F78-EA55-4134-88F0-1B7A4574BA13}">
      <text>
        <r>
          <rPr>
            <b/>
            <sz val="9"/>
            <color indexed="81"/>
            <rFont val="Tahoma"/>
            <family val="2"/>
            <charset val="238"/>
          </rPr>
          <t>pronájem tělocvičny od TJ Sokol k zajištění povinné výuky TV</t>
        </r>
      </text>
    </comment>
    <comment ref="G10" authorId="0" shapeId="0" xr:uid="{85557D9A-C21A-418F-BACE-027D26002289}">
      <text>
        <r>
          <rPr>
            <b/>
            <sz val="9"/>
            <color indexed="81"/>
            <rFont val="Tahoma"/>
            <family val="2"/>
            <charset val="238"/>
          </rPr>
          <t xml:space="preserve">stravování žáků +
nájemné za nový prostor
</t>
        </r>
      </text>
    </comment>
    <comment ref="G12" authorId="0" shapeId="0" xr:uid="{1AD4E6B2-DA81-4B25-A47E-F747427458FD}">
      <text>
        <r>
          <rPr>
            <b/>
            <sz val="9"/>
            <color indexed="81"/>
            <rFont val="Tahoma"/>
            <family val="2"/>
            <charset val="238"/>
          </rPr>
          <t>bezp. a ekol. požadavky spojené s chodem nové jídelny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3" authorId="0" shapeId="0" xr:uid="{10375107-ADA8-4719-8B54-27463D9230D7}">
      <text>
        <r>
          <rPr>
            <b/>
            <sz val="9"/>
            <color indexed="81"/>
            <rFont val="Tahoma"/>
            <family val="2"/>
            <charset val="238"/>
          </rPr>
          <t>počítačová učebna - vybavení</t>
        </r>
      </text>
    </comment>
    <comment ref="C15" authorId="0" shapeId="0" xr:uid="{E4A316C2-3DF7-4786-86E0-60616E5BFF7D}">
      <text>
        <r>
          <rPr>
            <sz val="9"/>
            <color indexed="81"/>
            <rFont val="Tahoma"/>
            <family val="2"/>
            <charset val="238"/>
          </rPr>
          <t>zohledňuje budoucí předpokládaný nárůst, ale v roce 2025 nechtěli úpravu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dopravní hřiště + vybavení počítačové učebny</t>
        </r>
      </text>
    </comment>
    <comment ref="G20" authorId="0" shapeId="0" xr:uid="{E8355E1A-4849-4500-AD01-1B7B3C7234C6}">
      <text>
        <r>
          <rPr>
            <b/>
            <sz val="9"/>
            <color indexed="81"/>
            <rFont val="Tahoma"/>
            <family val="2"/>
            <charset val="238"/>
          </rPr>
          <t>pronájem nafukovací haly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<sst xmlns="http://schemas.openxmlformats.org/spreadsheetml/2006/main" count="56" uniqueCount="49">
  <si>
    <t>Libčická</t>
  </si>
  <si>
    <t>U Školské zahrady</t>
  </si>
  <si>
    <t>Na Šutce</t>
  </si>
  <si>
    <t>Petra Strozziho</t>
  </si>
  <si>
    <t>Palmovka</t>
  </si>
  <si>
    <t>Na Slovance</t>
  </si>
  <si>
    <t>Žernosecká</t>
  </si>
  <si>
    <t>Dolákova</t>
  </si>
  <si>
    <t>Hovorčovická</t>
  </si>
  <si>
    <t>Glowackého</t>
  </si>
  <si>
    <t>Mazurská</t>
  </si>
  <si>
    <t>Ústavní</t>
  </si>
  <si>
    <t>Burešova</t>
  </si>
  <si>
    <t>Bohumila Hrabala</t>
  </si>
  <si>
    <t>Lyčkovo náměstí</t>
  </si>
  <si>
    <t>MŠ - koef. na třídu</t>
  </si>
  <si>
    <t>ZŠ - koef. na žáka</t>
  </si>
  <si>
    <t>celkem ZŠ</t>
  </si>
  <si>
    <t xml:space="preserve">žáků ZŠ          </t>
  </si>
  <si>
    <t xml:space="preserve">tříd MŠ               </t>
  </si>
  <si>
    <t>anomálie                                                             - částka</t>
  </si>
  <si>
    <t>sekání trávy</t>
  </si>
  <si>
    <t>platy+OON+odvody+ odměny 2024+ONIV 2025</t>
  </si>
  <si>
    <t>schválený příspěvek na energie 2025</t>
  </si>
  <si>
    <t>počet k 30.9.2025</t>
  </si>
  <si>
    <t>Návrh příspěvku na rok 2026  - Základní školy</t>
  </si>
  <si>
    <t>celkem                                                 2026</t>
  </si>
  <si>
    <t>celkem 2026                              vč. odpisů</t>
  </si>
  <si>
    <t>odhad energií na rok 2026</t>
  </si>
  <si>
    <t xml:space="preserve">násobek </t>
  </si>
  <si>
    <t xml:space="preserve"> (koeficient*počet tříd MŠ) + (koeficient*počet žáků ZŠ)</t>
  </si>
  <si>
    <t>úprava dle částky obdržené v rámci finančních vztahů s HMP</t>
  </si>
  <si>
    <t>celkem 2026 po snížení</t>
  </si>
  <si>
    <t>odpisy 2026</t>
  </si>
  <si>
    <t>*ZŠ a MŠ U Šk.zahrady</t>
  </si>
  <si>
    <t>pronájem tělocvičny od TJ Sokol k zajištění povinné výuky TV</t>
  </si>
  <si>
    <t>*ZŠ a MŠ Lyčkovo nám.</t>
  </si>
  <si>
    <t>stravování žáků v jídelně ZŠ a MŠ Petra Strozziho</t>
  </si>
  <si>
    <t>nájemné za nový prostor</t>
  </si>
  <si>
    <t>*ZŠ a MŠ Na Slovance</t>
  </si>
  <si>
    <t>bezpečnostní a ekologické požadavky spojené s chodem ŠJ</t>
  </si>
  <si>
    <t>*ZŠ Žernosecká</t>
  </si>
  <si>
    <t>vybavení počítačové učebny</t>
  </si>
  <si>
    <t>*ZŠ Glowackého</t>
  </si>
  <si>
    <t>dopravní hřiště</t>
  </si>
  <si>
    <t>*ZŠ Bohumila Hrabala</t>
  </si>
  <si>
    <t>pronájem nafukovací haly k zajištění povinné výuky TV</t>
  </si>
  <si>
    <t>ZŠ, ZŠ a MŠ</t>
  </si>
  <si>
    <r>
      <t xml:space="preserve">úprava ponížením o stav RF </t>
    </r>
    <r>
      <rPr>
        <sz val="9"/>
        <color rgb="FF0070C0"/>
        <rFont val="Calibri"/>
        <family val="2"/>
        <charset val="238"/>
        <scheme val="minor"/>
      </rPr>
      <t>(na RF zachováno min. 300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</si>
</sst>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rgb="FF0070C0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left"/>
    </xf>
    <xf numFmtId="0" fontId="3" fillId="0" borderId="17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3" fontId="0" fillId="0" borderId="0" xfId="0" applyNumberFormat="1"/>
    <xf numFmtId="3" fontId="7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10" fillId="0" borderId="6" xfId="0" applyNumberFormat="1" applyFont="1" applyBorder="1" applyAlignment="1">
      <alignment horizontal="right"/>
    </xf>
    <xf numFmtId="3" fontId="10" fillId="0" borderId="7" xfId="0" applyNumberFormat="1" applyFont="1" applyBorder="1" applyAlignment="1">
      <alignment horizontal="right"/>
    </xf>
    <xf numFmtId="3" fontId="8" fillId="0" borderId="1" xfId="0" applyNumberFormat="1" applyFont="1" applyBorder="1"/>
    <xf numFmtId="0" fontId="10" fillId="0" borderId="3" xfId="0" applyFont="1" applyBorder="1"/>
    <xf numFmtId="0" fontId="10" fillId="0" borderId="9" xfId="0" applyFont="1" applyBorder="1"/>
    <xf numFmtId="0" fontId="10" fillId="4" borderId="9" xfId="0" applyFont="1" applyFill="1" applyBorder="1"/>
    <xf numFmtId="0" fontId="10" fillId="0" borderId="13" xfId="0" applyFont="1" applyBorder="1"/>
    <xf numFmtId="0" fontId="8" fillId="2" borderId="2" xfId="0" applyFont="1" applyFill="1" applyBorder="1"/>
    <xf numFmtId="0" fontId="11" fillId="0" borderId="5" xfId="0" applyFont="1" applyBorder="1" applyAlignment="1">
      <alignment horizontal="center"/>
    </xf>
    <xf numFmtId="0" fontId="11" fillId="0" borderId="18" xfId="0" applyFont="1" applyBorder="1"/>
    <xf numFmtId="0" fontId="10" fillId="5" borderId="6" xfId="0" applyFont="1" applyFill="1" applyBorder="1"/>
    <xf numFmtId="0" fontId="10" fillId="5" borderId="7" xfId="0" applyFont="1" applyFill="1" applyBorder="1"/>
    <xf numFmtId="0" fontId="10" fillId="5" borderId="8" xfId="0" applyFont="1" applyFill="1" applyBorder="1"/>
    <xf numFmtId="3" fontId="8" fillId="2" borderId="1" xfId="0" applyNumberFormat="1" applyFont="1" applyFill="1" applyBorder="1"/>
    <xf numFmtId="3" fontId="10" fillId="5" borderId="10" xfId="0" applyNumberFormat="1" applyFont="1" applyFill="1" applyBorder="1"/>
    <xf numFmtId="3" fontId="10" fillId="5" borderId="11" xfId="0" applyNumberFormat="1" applyFont="1" applyFill="1" applyBorder="1"/>
    <xf numFmtId="3" fontId="10" fillId="5" borderId="14" xfId="0" applyNumberFormat="1" applyFont="1" applyFill="1" applyBorder="1"/>
    <xf numFmtId="3" fontId="8" fillId="0" borderId="4" xfId="0" applyNumberFormat="1" applyFont="1" applyBorder="1"/>
    <xf numFmtId="3" fontId="10" fillId="0" borderId="22" xfId="0" applyNumberFormat="1" applyFont="1" applyBorder="1"/>
    <xf numFmtId="3" fontId="10" fillId="0" borderId="23" xfId="0" applyNumberFormat="1" applyFont="1" applyBorder="1"/>
    <xf numFmtId="3" fontId="10" fillId="0" borderId="24" xfId="0" applyNumberFormat="1" applyFont="1" applyBorder="1"/>
    <xf numFmtId="3" fontId="10" fillId="0" borderId="25" xfId="0" applyNumberFormat="1" applyFont="1" applyBorder="1"/>
    <xf numFmtId="3" fontId="10" fillId="0" borderId="20" xfId="0" applyNumberFormat="1" applyFont="1" applyBorder="1"/>
    <xf numFmtId="3" fontId="10" fillId="0" borderId="21" xfId="0" applyNumberFormat="1" applyFont="1" applyBorder="1"/>
    <xf numFmtId="3" fontId="12" fillId="0" borderId="15" xfId="0" applyNumberFormat="1" applyFont="1" applyBorder="1" applyAlignment="1">
      <alignment horizontal="right"/>
    </xf>
    <xf numFmtId="3" fontId="12" fillId="0" borderId="17" xfId="0" applyNumberFormat="1" applyFont="1" applyBorder="1"/>
    <xf numFmtId="3" fontId="10" fillId="2" borderId="6" xfId="0" applyNumberFormat="1" applyFont="1" applyFill="1" applyBorder="1"/>
    <xf numFmtId="3" fontId="10" fillId="2" borderId="7" xfId="0" applyNumberFormat="1" applyFont="1" applyFill="1" applyBorder="1"/>
    <xf numFmtId="3" fontId="10" fillId="2" borderId="8" xfId="0" applyNumberFormat="1" applyFont="1" applyFill="1" applyBorder="1"/>
    <xf numFmtId="3" fontId="10" fillId="2" borderId="5" xfId="0" applyNumberFormat="1" applyFont="1" applyFill="1" applyBorder="1"/>
    <xf numFmtId="3" fontId="10" fillId="3" borderId="6" xfId="0" applyNumberFormat="1" applyFont="1" applyFill="1" applyBorder="1"/>
    <xf numFmtId="3" fontId="10" fillId="3" borderId="7" xfId="0" applyNumberFormat="1" applyFont="1" applyFill="1" applyBorder="1"/>
    <xf numFmtId="3" fontId="10" fillId="2" borderId="12" xfId="0" applyNumberFormat="1" applyFont="1" applyFill="1" applyBorder="1"/>
    <xf numFmtId="3" fontId="10" fillId="3" borderId="8" xfId="0" applyNumberFormat="1" applyFont="1" applyFill="1" applyBorder="1"/>
    <xf numFmtId="3" fontId="8" fillId="2" borderId="17" xfId="0" applyNumberFormat="1" applyFont="1" applyFill="1" applyBorder="1"/>
    <xf numFmtId="3" fontId="8" fillId="3" borderId="1" xfId="0" applyNumberFormat="1" applyFont="1" applyFill="1" applyBorder="1"/>
    <xf numFmtId="3" fontId="10" fillId="5" borderId="6" xfId="0" applyNumberFormat="1" applyFont="1" applyFill="1" applyBorder="1" applyAlignment="1">
      <alignment horizontal="right"/>
    </xf>
    <xf numFmtId="3" fontId="10" fillId="5" borderId="7" xfId="0" applyNumberFormat="1" applyFont="1" applyFill="1" applyBorder="1" applyAlignment="1">
      <alignment horizontal="right"/>
    </xf>
    <xf numFmtId="3" fontId="7" fillId="0" borderId="1" xfId="0" applyNumberFormat="1" applyFont="1" applyBorder="1"/>
    <xf numFmtId="3" fontId="16" fillId="0" borderId="5" xfId="0" applyNumberFormat="1" applyFont="1" applyBorder="1"/>
    <xf numFmtId="3" fontId="16" fillId="0" borderId="7" xfId="0" applyNumberFormat="1" applyFont="1" applyBorder="1"/>
    <xf numFmtId="3" fontId="7" fillId="0" borderId="17" xfId="0" applyNumberFormat="1" applyFont="1" applyBorder="1"/>
    <xf numFmtId="3" fontId="16" fillId="0" borderId="6" xfId="0" applyNumberFormat="1" applyFont="1" applyBorder="1"/>
    <xf numFmtId="164" fontId="0" fillId="0" borderId="0" xfId="0" applyNumberFormat="1"/>
    <xf numFmtId="3" fontId="16" fillId="6" borderId="6" xfId="0" applyNumberFormat="1" applyFont="1" applyFill="1" applyBorder="1"/>
    <xf numFmtId="3" fontId="16" fillId="6" borderId="7" xfId="0" applyNumberFormat="1" applyFont="1" applyFill="1" applyBorder="1"/>
    <xf numFmtId="3" fontId="7" fillId="6" borderId="1" xfId="0" applyNumberFormat="1" applyFont="1" applyFill="1" applyBorder="1"/>
    <xf numFmtId="3" fontId="16" fillId="6" borderId="25" xfId="0" applyNumberFormat="1" applyFont="1" applyFill="1" applyBorder="1"/>
    <xf numFmtId="3" fontId="16" fillId="6" borderId="20" xfId="0" applyNumberFormat="1" applyFont="1" applyFill="1" applyBorder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/>
    </xf>
    <xf numFmtId="0" fontId="0" fillId="0" borderId="17" xfId="0" applyBorder="1"/>
    <xf numFmtId="0" fontId="4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FF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30"/>
  <sheetViews>
    <sheetView tabSelected="1" zoomScaleNormal="100" workbookViewId="0">
      <selection activeCell="O23" sqref="O23"/>
    </sheetView>
  </sheetViews>
  <sheetFormatPr defaultRowHeight="15" x14ac:dyDescent="0.25"/>
  <cols>
    <col min="1" max="1" width="20.42578125" customWidth="1"/>
    <col min="2" max="2" width="18.42578125" hidden="1" customWidth="1"/>
    <col min="3" max="3" width="15.140625" customWidth="1"/>
    <col min="4" max="5" width="11.5703125" customWidth="1"/>
    <col min="6" max="6" width="14.28515625" customWidth="1"/>
    <col min="7" max="8" width="9.85546875" customWidth="1"/>
    <col min="9" max="9" width="18.5703125" hidden="1" customWidth="1"/>
    <col min="10" max="10" width="18.5703125" customWidth="1"/>
    <col min="11" max="11" width="13.5703125" hidden="1" customWidth="1"/>
    <col min="12" max="12" width="14.28515625" customWidth="1"/>
    <col min="13" max="13" width="10.28515625" customWidth="1"/>
    <col min="14" max="14" width="16.28515625" hidden="1" customWidth="1"/>
    <col min="15" max="16" width="14.5703125" customWidth="1"/>
  </cols>
  <sheetData>
    <row r="1" spans="1:16" ht="23.25" customHeight="1" thickBot="1" x14ac:dyDescent="0.35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6.75" customHeight="1" thickBot="1" x14ac:dyDescent="0.3">
      <c r="A2" s="64" t="s">
        <v>47</v>
      </c>
      <c r="B2" s="64" t="s">
        <v>23</v>
      </c>
      <c r="C2" s="64" t="s">
        <v>28</v>
      </c>
      <c r="D2" s="70" t="s">
        <v>24</v>
      </c>
      <c r="E2" s="71"/>
      <c r="F2" s="64" t="s">
        <v>29</v>
      </c>
      <c r="G2" s="64" t="s">
        <v>20</v>
      </c>
      <c r="H2" s="64" t="s">
        <v>21</v>
      </c>
      <c r="I2" s="64" t="s">
        <v>22</v>
      </c>
      <c r="J2" s="73" t="s">
        <v>22</v>
      </c>
      <c r="K2" s="64" t="s">
        <v>26</v>
      </c>
      <c r="L2" s="77" t="s">
        <v>32</v>
      </c>
      <c r="M2" s="64" t="s">
        <v>33</v>
      </c>
      <c r="N2" s="82" t="s">
        <v>27</v>
      </c>
      <c r="O2" s="77" t="s">
        <v>27</v>
      </c>
      <c r="P2" s="73" t="s">
        <v>48</v>
      </c>
    </row>
    <row r="3" spans="1:16" ht="84" customHeight="1" thickBot="1" x14ac:dyDescent="0.3">
      <c r="A3" s="65"/>
      <c r="B3" s="65"/>
      <c r="C3" s="65"/>
      <c r="D3" s="3" t="s">
        <v>19</v>
      </c>
      <c r="E3" s="4" t="s">
        <v>18</v>
      </c>
      <c r="F3" s="65"/>
      <c r="G3" s="65"/>
      <c r="H3" s="65"/>
      <c r="I3" s="65"/>
      <c r="J3" s="74"/>
      <c r="K3" s="65"/>
      <c r="L3" s="78"/>
      <c r="M3" s="65"/>
      <c r="N3" s="83"/>
      <c r="O3" s="78"/>
      <c r="P3" s="74"/>
    </row>
    <row r="4" spans="1:16" ht="25.5" customHeight="1" x14ac:dyDescent="0.25">
      <c r="A4" s="5" t="s">
        <v>15</v>
      </c>
      <c r="B4" s="66"/>
      <c r="C4" s="68"/>
      <c r="D4" s="39">
        <f>101970*1.024</f>
        <v>104417.28</v>
      </c>
      <c r="E4" s="23"/>
      <c r="F4" s="68" t="s">
        <v>30</v>
      </c>
      <c r="G4" s="68"/>
      <c r="H4" s="68"/>
      <c r="I4" s="68"/>
      <c r="J4" s="75" t="s">
        <v>31</v>
      </c>
      <c r="K4" s="68"/>
      <c r="L4" s="79" t="s">
        <v>31</v>
      </c>
      <c r="M4" s="68"/>
      <c r="N4" s="81"/>
      <c r="O4" s="79" t="s">
        <v>31</v>
      </c>
      <c r="P4" s="75"/>
    </row>
    <row r="5" spans="1:16" ht="24.75" customHeight="1" thickBot="1" x14ac:dyDescent="0.3">
      <c r="A5" s="6" t="s">
        <v>16</v>
      </c>
      <c r="B5" s="67"/>
      <c r="C5" s="69"/>
      <c r="D5" s="24"/>
      <c r="E5" s="40">
        <f>2946*1.024</f>
        <v>3016.7040000000002</v>
      </c>
      <c r="F5" s="69"/>
      <c r="G5" s="69"/>
      <c r="H5" s="69"/>
      <c r="I5" s="72"/>
      <c r="J5" s="76"/>
      <c r="K5" s="69"/>
      <c r="L5" s="80"/>
      <c r="M5" s="69"/>
      <c r="N5" s="67"/>
      <c r="O5" s="80"/>
      <c r="P5" s="76"/>
    </row>
    <row r="6" spans="1:16" x14ac:dyDescent="0.25">
      <c r="A6" s="7" t="s">
        <v>0</v>
      </c>
      <c r="B6" s="15">
        <v>3257000</v>
      </c>
      <c r="C6" s="51">
        <f>B6+250000</f>
        <v>3507000</v>
      </c>
      <c r="D6" s="18"/>
      <c r="E6" s="25">
        <v>390</v>
      </c>
      <c r="F6" s="41">
        <f>E5*E6</f>
        <v>1176514.5600000001</v>
      </c>
      <c r="G6" s="29"/>
      <c r="H6" s="33">
        <v>175900</v>
      </c>
      <c r="I6" s="36">
        <v>8833654</v>
      </c>
      <c r="J6" s="62">
        <f t="shared" ref="J6:J20" si="0">I6*0.9164</f>
        <v>8095160.5256000003</v>
      </c>
      <c r="K6" s="44">
        <f t="shared" ref="K6:K20" si="1">C6+F6+G6+H6+I6</f>
        <v>13693068.560000001</v>
      </c>
      <c r="L6" s="54">
        <f t="shared" ref="L6:L20" si="2">C6+F6+G6+H6+J6</f>
        <v>12954575.0856</v>
      </c>
      <c r="M6" s="37">
        <v>504800</v>
      </c>
      <c r="N6" s="45">
        <f t="shared" ref="N6:N20" si="3">K6+M6</f>
        <v>14197868.560000001</v>
      </c>
      <c r="O6" s="57">
        <f>L6+M6</f>
        <v>13459375.0856</v>
      </c>
      <c r="P6" s="59">
        <f>O6-3000</f>
        <v>13456375.0856</v>
      </c>
    </row>
    <row r="7" spans="1:16" x14ac:dyDescent="0.25">
      <c r="A7" s="8" t="s">
        <v>1</v>
      </c>
      <c r="B7" s="16">
        <v>3336300</v>
      </c>
      <c r="C7" s="52">
        <f>B7</f>
        <v>3336300</v>
      </c>
      <c r="D7" s="19">
        <v>2</v>
      </c>
      <c r="E7" s="26">
        <v>393</v>
      </c>
      <c r="F7" s="42">
        <f>(D7*D4)+(E7*E5)</f>
        <v>1394399.2320000001</v>
      </c>
      <c r="G7" s="30">
        <v>112000</v>
      </c>
      <c r="H7" s="34">
        <f>13200+37700</f>
        <v>50900</v>
      </c>
      <c r="I7" s="37">
        <v>11270602</v>
      </c>
      <c r="J7" s="63">
        <f t="shared" si="0"/>
        <v>10328379.672800001</v>
      </c>
      <c r="K7" s="42">
        <f t="shared" si="1"/>
        <v>16164201.232000001</v>
      </c>
      <c r="L7" s="55">
        <f t="shared" si="2"/>
        <v>15221978.904800002</v>
      </c>
      <c r="M7" s="37">
        <v>896400</v>
      </c>
      <c r="N7" s="46">
        <f t="shared" si="3"/>
        <v>17060601.232000001</v>
      </c>
      <c r="O7" s="55">
        <f>L7+M7</f>
        <v>16118378.904800002</v>
      </c>
      <c r="P7" s="60">
        <f>O7-443000</f>
        <v>15675378.904800002</v>
      </c>
    </row>
    <row r="8" spans="1:16" x14ac:dyDescent="0.25">
      <c r="A8" s="8" t="s">
        <v>2</v>
      </c>
      <c r="B8" s="16">
        <v>3159000</v>
      </c>
      <c r="C8" s="52">
        <f t="shared" ref="C8:C14" si="4">B8</f>
        <v>3159000</v>
      </c>
      <c r="D8" s="19"/>
      <c r="E8" s="26">
        <v>458</v>
      </c>
      <c r="F8" s="42">
        <f>E5*E8</f>
        <v>1381650.432</v>
      </c>
      <c r="G8" s="30"/>
      <c r="H8" s="34">
        <v>105300</v>
      </c>
      <c r="I8" s="37">
        <v>9016772</v>
      </c>
      <c r="J8" s="63">
        <f t="shared" si="0"/>
        <v>8262969.8607999999</v>
      </c>
      <c r="K8" s="42">
        <f t="shared" si="1"/>
        <v>13662722.432</v>
      </c>
      <c r="L8" s="55">
        <f t="shared" si="2"/>
        <v>12908920.2928</v>
      </c>
      <c r="M8" s="37">
        <v>219600</v>
      </c>
      <c r="N8" s="46">
        <f t="shared" si="3"/>
        <v>13882322.432</v>
      </c>
      <c r="O8" s="55">
        <f t="shared" ref="O8:O20" si="5">L8+M8</f>
        <v>13128520.2928</v>
      </c>
      <c r="P8" s="60">
        <f>O8-507000</f>
        <v>12621520.2928</v>
      </c>
    </row>
    <row r="9" spans="1:16" x14ac:dyDescent="0.25">
      <c r="A9" s="8" t="s">
        <v>3</v>
      </c>
      <c r="B9" s="16">
        <v>4234000</v>
      </c>
      <c r="C9" s="52">
        <f t="shared" si="4"/>
        <v>4234000</v>
      </c>
      <c r="D9" s="19">
        <v>2</v>
      </c>
      <c r="E9" s="26">
        <v>315</v>
      </c>
      <c r="F9" s="42">
        <f>(D9*D4)+(E9*E5)</f>
        <v>1159096.3200000001</v>
      </c>
      <c r="G9" s="30"/>
      <c r="H9" s="34">
        <v>266400</v>
      </c>
      <c r="I9" s="37">
        <v>10308008</v>
      </c>
      <c r="J9" s="63">
        <f t="shared" si="0"/>
        <v>9446258.5311999992</v>
      </c>
      <c r="K9" s="42">
        <f t="shared" si="1"/>
        <v>15967504.32</v>
      </c>
      <c r="L9" s="55">
        <f t="shared" si="2"/>
        <v>15105754.851199999</v>
      </c>
      <c r="M9" s="37">
        <v>399000</v>
      </c>
      <c r="N9" s="46">
        <f t="shared" si="3"/>
        <v>16366504.32</v>
      </c>
      <c r="O9" s="55">
        <f t="shared" si="5"/>
        <v>15504754.851199999</v>
      </c>
      <c r="P9" s="60">
        <f>O9-239000</f>
        <v>15265754.851199999</v>
      </c>
    </row>
    <row r="10" spans="1:16" x14ac:dyDescent="0.25">
      <c r="A10" s="8" t="s">
        <v>14</v>
      </c>
      <c r="B10" s="16">
        <v>4870000</v>
      </c>
      <c r="C10" s="52">
        <f>B10-500000</f>
        <v>4370000</v>
      </c>
      <c r="D10" s="20">
        <f>2+4</f>
        <v>6</v>
      </c>
      <c r="E10" s="26">
        <v>860</v>
      </c>
      <c r="F10" s="42">
        <f>(D10*D4)+(E10*E5)</f>
        <v>3220869.1200000001</v>
      </c>
      <c r="G10" s="30">
        <f>1000000+219000</f>
        <v>1219000</v>
      </c>
      <c r="H10" s="34">
        <v>0</v>
      </c>
      <c r="I10" s="37">
        <v>15526680</v>
      </c>
      <c r="J10" s="63">
        <f t="shared" si="0"/>
        <v>14228649.551999999</v>
      </c>
      <c r="K10" s="42">
        <f t="shared" si="1"/>
        <v>24336549.120000001</v>
      </c>
      <c r="L10" s="55">
        <f t="shared" si="2"/>
        <v>23038518.671999998</v>
      </c>
      <c r="M10" s="37">
        <v>803700</v>
      </c>
      <c r="N10" s="46">
        <f t="shared" si="3"/>
        <v>25140249.120000001</v>
      </c>
      <c r="O10" s="55">
        <f t="shared" si="5"/>
        <v>23842218.671999998</v>
      </c>
      <c r="P10" s="60">
        <f>O10-742000</f>
        <v>23100218.671999998</v>
      </c>
    </row>
    <row r="11" spans="1:16" x14ac:dyDescent="0.25">
      <c r="A11" s="8" t="s">
        <v>4</v>
      </c>
      <c r="B11" s="16">
        <v>3052000</v>
      </c>
      <c r="C11" s="52">
        <f t="shared" si="4"/>
        <v>3052000</v>
      </c>
      <c r="D11" s="19"/>
      <c r="E11" s="26">
        <v>276</v>
      </c>
      <c r="F11" s="42">
        <f>E5*E11</f>
        <v>832610.304</v>
      </c>
      <c r="G11" s="30"/>
      <c r="H11" s="34">
        <v>0</v>
      </c>
      <c r="I11" s="37">
        <v>6705762</v>
      </c>
      <c r="J11" s="63">
        <f t="shared" si="0"/>
        <v>6145160.2967999997</v>
      </c>
      <c r="K11" s="42">
        <f t="shared" si="1"/>
        <v>10590372.304</v>
      </c>
      <c r="L11" s="55">
        <f t="shared" si="2"/>
        <v>10029770.6008</v>
      </c>
      <c r="M11" s="37">
        <v>237100</v>
      </c>
      <c r="N11" s="46">
        <f t="shared" si="3"/>
        <v>10827472.304</v>
      </c>
      <c r="O11" s="55">
        <f t="shared" si="5"/>
        <v>10266870.6008</v>
      </c>
      <c r="P11" s="60">
        <f>O11-102000</f>
        <v>10164870.6008</v>
      </c>
    </row>
    <row r="12" spans="1:16" x14ac:dyDescent="0.25">
      <c r="A12" s="8" t="s">
        <v>5</v>
      </c>
      <c r="B12" s="16">
        <v>5350000</v>
      </c>
      <c r="C12" s="52">
        <f t="shared" si="4"/>
        <v>5350000</v>
      </c>
      <c r="D12" s="19">
        <v>2</v>
      </c>
      <c r="E12" s="26">
        <v>566</v>
      </c>
      <c r="F12" s="42">
        <f>(D12*D4)+(E12*E5)</f>
        <v>1916289.0240000002</v>
      </c>
      <c r="G12" s="30">
        <v>183000</v>
      </c>
      <c r="H12" s="34">
        <f>28400+143000</f>
        <v>171400</v>
      </c>
      <c r="I12" s="37">
        <v>11011708</v>
      </c>
      <c r="J12" s="63">
        <f t="shared" si="0"/>
        <v>10091129.211200001</v>
      </c>
      <c r="K12" s="42">
        <f t="shared" si="1"/>
        <v>18632397.024</v>
      </c>
      <c r="L12" s="55">
        <f t="shared" si="2"/>
        <v>17711818.235200003</v>
      </c>
      <c r="M12" s="37">
        <v>1881000</v>
      </c>
      <c r="N12" s="46">
        <f t="shared" si="3"/>
        <v>20513397.024</v>
      </c>
      <c r="O12" s="55">
        <f t="shared" si="5"/>
        <v>19592818.235200003</v>
      </c>
      <c r="P12" s="60">
        <f>O12-243000</f>
        <v>19349818.235200003</v>
      </c>
    </row>
    <row r="13" spans="1:16" x14ac:dyDescent="0.25">
      <c r="A13" s="8" t="s">
        <v>6</v>
      </c>
      <c r="B13" s="16">
        <v>3517000</v>
      </c>
      <c r="C13" s="52">
        <f>B13+583000</f>
        <v>4100000</v>
      </c>
      <c r="D13" s="19"/>
      <c r="E13" s="26">
        <v>607</v>
      </c>
      <c r="F13" s="42">
        <f>E13*E5</f>
        <v>1831139.3280000002</v>
      </c>
      <c r="G13" s="30">
        <v>700000</v>
      </c>
      <c r="H13" s="34">
        <v>28700</v>
      </c>
      <c r="I13" s="37">
        <v>12460800</v>
      </c>
      <c r="J13" s="63">
        <f t="shared" si="0"/>
        <v>11419077.119999999</v>
      </c>
      <c r="K13" s="42">
        <f t="shared" si="1"/>
        <v>19120639.328000002</v>
      </c>
      <c r="L13" s="55">
        <f t="shared" si="2"/>
        <v>18078916.447999999</v>
      </c>
      <c r="M13" s="37">
        <v>611400</v>
      </c>
      <c r="N13" s="46">
        <f t="shared" si="3"/>
        <v>19732039.328000002</v>
      </c>
      <c r="O13" s="55">
        <f t="shared" si="5"/>
        <v>18690316.447999999</v>
      </c>
      <c r="P13" s="60">
        <f>O13-720000</f>
        <v>17970316.447999999</v>
      </c>
    </row>
    <row r="14" spans="1:16" x14ac:dyDescent="0.25">
      <c r="A14" s="8" t="s">
        <v>7</v>
      </c>
      <c r="B14" s="16">
        <v>4590000</v>
      </c>
      <c r="C14" s="52">
        <f t="shared" si="4"/>
        <v>4590000</v>
      </c>
      <c r="D14" s="19">
        <v>4</v>
      </c>
      <c r="E14" s="26">
        <v>357</v>
      </c>
      <c r="F14" s="42">
        <f>(D14*D4)+(E14*E5)</f>
        <v>1494632.4479999999</v>
      </c>
      <c r="G14" s="30"/>
      <c r="H14" s="34">
        <v>123600</v>
      </c>
      <c r="I14" s="37">
        <v>11301401</v>
      </c>
      <c r="J14" s="63">
        <f t="shared" si="0"/>
        <v>10356603.876399999</v>
      </c>
      <c r="K14" s="42">
        <f t="shared" si="1"/>
        <v>17509633.447999999</v>
      </c>
      <c r="L14" s="55">
        <f t="shared" si="2"/>
        <v>16564836.3244</v>
      </c>
      <c r="M14" s="37">
        <v>780000</v>
      </c>
      <c r="N14" s="46">
        <f t="shared" si="3"/>
        <v>18289633.447999999</v>
      </c>
      <c r="O14" s="55">
        <f t="shared" si="5"/>
        <v>17344836.3244</v>
      </c>
      <c r="P14" s="60">
        <f>O14</f>
        <v>17344836.3244</v>
      </c>
    </row>
    <row r="15" spans="1:16" x14ac:dyDescent="0.25">
      <c r="A15" s="8" t="s">
        <v>8</v>
      </c>
      <c r="B15" s="16">
        <v>3725000</v>
      </c>
      <c r="C15" s="52">
        <f>B15+175000</f>
        <v>3900000</v>
      </c>
      <c r="D15" s="19"/>
      <c r="E15" s="26">
        <v>601</v>
      </c>
      <c r="F15" s="42">
        <f>E15*E5</f>
        <v>1813039.1040000001</v>
      </c>
      <c r="G15" s="30"/>
      <c r="H15" s="34">
        <v>11900</v>
      </c>
      <c r="I15" s="37">
        <v>11988875</v>
      </c>
      <c r="J15" s="63">
        <f t="shared" si="0"/>
        <v>10986605.050000001</v>
      </c>
      <c r="K15" s="42">
        <f t="shared" si="1"/>
        <v>17713814.104000002</v>
      </c>
      <c r="L15" s="55">
        <f t="shared" si="2"/>
        <v>16711544.154000001</v>
      </c>
      <c r="M15" s="37">
        <v>918300</v>
      </c>
      <c r="N15" s="46">
        <f t="shared" si="3"/>
        <v>18632114.104000002</v>
      </c>
      <c r="O15" s="55">
        <f t="shared" si="5"/>
        <v>17629844.153999999</v>
      </c>
      <c r="P15" s="60">
        <f>O15-1631000</f>
        <v>15998844.153999999</v>
      </c>
    </row>
    <row r="16" spans="1:16" x14ac:dyDescent="0.25">
      <c r="A16" s="8" t="s">
        <v>9</v>
      </c>
      <c r="B16" s="16">
        <v>5507500</v>
      </c>
      <c r="C16" s="52">
        <f>B16-260000</f>
        <v>5247500</v>
      </c>
      <c r="D16" s="19"/>
      <c r="E16" s="26">
        <v>749</v>
      </c>
      <c r="F16" s="42">
        <f>E16*E5</f>
        <v>2259511.2960000001</v>
      </c>
      <c r="G16" s="30">
        <f>300000+900000</f>
        <v>1200000</v>
      </c>
      <c r="H16" s="34">
        <v>180000</v>
      </c>
      <c r="I16" s="37">
        <v>13602525</v>
      </c>
      <c r="J16" s="63">
        <f t="shared" si="0"/>
        <v>12465353.91</v>
      </c>
      <c r="K16" s="42">
        <f t="shared" si="1"/>
        <v>22489536.296</v>
      </c>
      <c r="L16" s="55">
        <f t="shared" si="2"/>
        <v>21352365.206</v>
      </c>
      <c r="M16" s="37">
        <v>1070000</v>
      </c>
      <c r="N16" s="46">
        <f t="shared" si="3"/>
        <v>23559536.296</v>
      </c>
      <c r="O16" s="55">
        <f t="shared" si="5"/>
        <v>22422365.206</v>
      </c>
      <c r="P16" s="60">
        <f>O16</f>
        <v>22422365.206</v>
      </c>
    </row>
    <row r="17" spans="1:16" x14ac:dyDescent="0.25">
      <c r="A17" s="8" t="s">
        <v>10</v>
      </c>
      <c r="B17" s="16">
        <v>3363000</v>
      </c>
      <c r="C17" s="52">
        <f>B17+998500</f>
        <v>4361500</v>
      </c>
      <c r="D17" s="19"/>
      <c r="E17" s="26">
        <v>532</v>
      </c>
      <c r="F17" s="42">
        <f>E17*E5</f>
        <v>1604886.5280000002</v>
      </c>
      <c r="G17" s="30"/>
      <c r="H17" s="34">
        <v>166400</v>
      </c>
      <c r="I17" s="37">
        <v>10242279</v>
      </c>
      <c r="J17" s="63">
        <f t="shared" si="0"/>
        <v>9386024.4756000005</v>
      </c>
      <c r="K17" s="42">
        <f t="shared" si="1"/>
        <v>16375065.528000001</v>
      </c>
      <c r="L17" s="55">
        <f t="shared" si="2"/>
        <v>15518811.003600001</v>
      </c>
      <c r="M17" s="37">
        <v>800000</v>
      </c>
      <c r="N17" s="46">
        <f t="shared" si="3"/>
        <v>17175065.528000001</v>
      </c>
      <c r="O17" s="55">
        <f t="shared" si="5"/>
        <v>16318811.003600001</v>
      </c>
      <c r="P17" s="60">
        <f>O17-340000</f>
        <v>15978811.003600001</v>
      </c>
    </row>
    <row r="18" spans="1:16" x14ac:dyDescent="0.25">
      <c r="A18" s="8" t="s">
        <v>11</v>
      </c>
      <c r="B18" s="16">
        <v>6124000</v>
      </c>
      <c r="C18" s="52">
        <f>B18+300000</f>
        <v>6424000</v>
      </c>
      <c r="D18" s="19">
        <v>4</v>
      </c>
      <c r="E18" s="26">
        <v>528</v>
      </c>
      <c r="F18" s="42">
        <f>(D18*D4)+(E18*E5)</f>
        <v>2010488.8319999999</v>
      </c>
      <c r="G18" s="30"/>
      <c r="H18" s="34">
        <f>140600</f>
        <v>140600</v>
      </c>
      <c r="I18" s="37">
        <v>17123763</v>
      </c>
      <c r="J18" s="63">
        <f t="shared" si="0"/>
        <v>15692216.4132</v>
      </c>
      <c r="K18" s="42">
        <f t="shared" si="1"/>
        <v>25698851.832000002</v>
      </c>
      <c r="L18" s="55">
        <f t="shared" si="2"/>
        <v>24267305.245200001</v>
      </c>
      <c r="M18" s="37">
        <v>393500</v>
      </c>
      <c r="N18" s="46">
        <f t="shared" si="3"/>
        <v>26092351.832000002</v>
      </c>
      <c r="O18" s="55">
        <f t="shared" si="5"/>
        <v>24660805.245200001</v>
      </c>
      <c r="P18" s="60">
        <f>O18-135000</f>
        <v>24525805.245200001</v>
      </c>
    </row>
    <row r="19" spans="1:16" x14ac:dyDescent="0.25">
      <c r="A19" s="8" t="s">
        <v>12</v>
      </c>
      <c r="B19" s="16">
        <v>5937000</v>
      </c>
      <c r="C19" s="52">
        <f>B19+500000</f>
        <v>6437000</v>
      </c>
      <c r="D19" s="19"/>
      <c r="E19" s="26">
        <v>832</v>
      </c>
      <c r="F19" s="42">
        <f>E19*E5</f>
        <v>2509897.7280000001</v>
      </c>
      <c r="G19" s="30"/>
      <c r="H19" s="34">
        <v>194200</v>
      </c>
      <c r="I19" s="37">
        <v>18365090</v>
      </c>
      <c r="J19" s="63">
        <f t="shared" si="0"/>
        <v>16829768.476</v>
      </c>
      <c r="K19" s="42">
        <f t="shared" si="1"/>
        <v>27506187.728</v>
      </c>
      <c r="L19" s="55">
        <f t="shared" si="2"/>
        <v>25970866.204</v>
      </c>
      <c r="M19" s="37">
        <v>591500</v>
      </c>
      <c r="N19" s="46">
        <f t="shared" si="3"/>
        <v>28097687.728</v>
      </c>
      <c r="O19" s="55">
        <f t="shared" si="5"/>
        <v>26562366.204</v>
      </c>
      <c r="P19" s="60">
        <f>O19</f>
        <v>26562366.204</v>
      </c>
    </row>
    <row r="20" spans="1:16" ht="15.75" thickBot="1" x14ac:dyDescent="0.3">
      <c r="A20" s="9" t="s">
        <v>13</v>
      </c>
      <c r="B20" s="16">
        <v>6024000</v>
      </c>
      <c r="C20" s="52">
        <f>B20</f>
        <v>6024000</v>
      </c>
      <c r="D20" s="21"/>
      <c r="E20" s="27">
        <v>968</v>
      </c>
      <c r="F20" s="43">
        <f>E20*E5</f>
        <v>2920169.4720000001</v>
      </c>
      <c r="G20" s="31">
        <v>110000</v>
      </c>
      <c r="H20" s="35">
        <v>47100</v>
      </c>
      <c r="I20" s="38">
        <v>17786949</v>
      </c>
      <c r="J20" s="63">
        <f t="shared" si="0"/>
        <v>16299960.0636</v>
      </c>
      <c r="K20" s="47">
        <f t="shared" si="1"/>
        <v>26888218.471999999</v>
      </c>
      <c r="L20" s="55">
        <f t="shared" si="2"/>
        <v>25401229.535599999</v>
      </c>
      <c r="M20" s="38">
        <v>1188200</v>
      </c>
      <c r="N20" s="48">
        <f t="shared" si="3"/>
        <v>28076418.471999999</v>
      </c>
      <c r="O20" s="55">
        <f t="shared" si="5"/>
        <v>26589429.535599999</v>
      </c>
      <c r="P20" s="60">
        <f>O20-694000</f>
        <v>25895429.535599999</v>
      </c>
    </row>
    <row r="21" spans="1:16" s="1" customFormat="1" ht="21" customHeight="1" thickBot="1" x14ac:dyDescent="0.3">
      <c r="A21" s="10" t="s">
        <v>17</v>
      </c>
      <c r="B21" s="17">
        <f>SUM(B6:B20)</f>
        <v>66045800</v>
      </c>
      <c r="C21" s="17">
        <f>SUM(C6:C20)</f>
        <v>68092300</v>
      </c>
      <c r="D21" s="22">
        <f t="shared" ref="D21:N21" si="6">SUM(D6:D20)</f>
        <v>20</v>
      </c>
      <c r="E21" s="28">
        <f t="shared" si="6"/>
        <v>8432</v>
      </c>
      <c r="F21" s="28">
        <f t="shared" si="6"/>
        <v>27525193.727999996</v>
      </c>
      <c r="G21" s="32">
        <f t="shared" si="6"/>
        <v>3524000</v>
      </c>
      <c r="H21" s="32">
        <f>SUM(H6:H20)</f>
        <v>1662400</v>
      </c>
      <c r="I21" s="17">
        <f>SUM(I6:I20)</f>
        <v>185544868</v>
      </c>
      <c r="J21" s="61">
        <f>SUM(J6:J20)</f>
        <v>170033317.0352</v>
      </c>
      <c r="K21" s="49">
        <f t="shared" si="6"/>
        <v>286348761.72799999</v>
      </c>
      <c r="L21" s="56">
        <f>SUM(L6:L20)</f>
        <v>270837210.76320004</v>
      </c>
      <c r="M21" s="17">
        <f t="shared" si="6"/>
        <v>11294500</v>
      </c>
      <c r="N21" s="50">
        <f t="shared" si="6"/>
        <v>297643261.72799999</v>
      </c>
      <c r="O21" s="53">
        <f>SUM(O6:O20)</f>
        <v>282131710.76320004</v>
      </c>
      <c r="P21" s="61">
        <f>SUM(P6:P20)</f>
        <v>276332710.76320004</v>
      </c>
    </row>
    <row r="23" spans="1:16" x14ac:dyDescent="0.25">
      <c r="A23" t="s">
        <v>34</v>
      </c>
      <c r="B23" s="58">
        <v>112000</v>
      </c>
      <c r="C23" s="11" t="s">
        <v>35</v>
      </c>
      <c r="D23" s="11"/>
      <c r="F23" s="11"/>
      <c r="G23" s="11"/>
      <c r="H23" s="11"/>
      <c r="I23" s="11"/>
      <c r="J23" s="11"/>
      <c r="O23" s="11"/>
      <c r="P23" s="11"/>
    </row>
    <row r="24" spans="1:16" x14ac:dyDescent="0.25">
      <c r="A24" t="s">
        <v>36</v>
      </c>
      <c r="B24" s="58">
        <v>1000000</v>
      </c>
      <c r="C24" s="11" t="s">
        <v>37</v>
      </c>
      <c r="D24" s="13"/>
      <c r="E24" s="14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x14ac:dyDescent="0.25">
      <c r="A25" t="s">
        <v>36</v>
      </c>
      <c r="B25" s="58">
        <v>219000</v>
      </c>
      <c r="C25" s="11" t="s">
        <v>38</v>
      </c>
      <c r="D25" s="13"/>
      <c r="E25" s="13"/>
      <c r="F25" s="11"/>
      <c r="G25" s="11"/>
      <c r="H25" s="11"/>
      <c r="I25" s="11"/>
      <c r="J25" s="11"/>
      <c r="K25" s="11"/>
      <c r="L25" s="11"/>
      <c r="M25" s="11"/>
      <c r="N25" s="12"/>
      <c r="O25" s="12"/>
      <c r="P25" s="12"/>
    </row>
    <row r="26" spans="1:16" x14ac:dyDescent="0.25">
      <c r="A26" t="s">
        <v>39</v>
      </c>
      <c r="B26" s="58">
        <v>183000</v>
      </c>
      <c r="C26" s="11" t="s">
        <v>40</v>
      </c>
    </row>
    <row r="27" spans="1:16" x14ac:dyDescent="0.25">
      <c r="A27" t="s">
        <v>41</v>
      </c>
      <c r="B27" s="58">
        <v>700000</v>
      </c>
      <c r="C27" s="11" t="s">
        <v>42</v>
      </c>
    </row>
    <row r="28" spans="1:16" x14ac:dyDescent="0.25">
      <c r="A28" t="s">
        <v>43</v>
      </c>
      <c r="B28" s="58">
        <v>300000</v>
      </c>
      <c r="C28" s="11" t="s">
        <v>44</v>
      </c>
    </row>
    <row r="29" spans="1:16" x14ac:dyDescent="0.25">
      <c r="A29" t="s">
        <v>43</v>
      </c>
      <c r="B29" s="58">
        <v>900000</v>
      </c>
      <c r="C29" s="11" t="s">
        <v>42</v>
      </c>
    </row>
    <row r="30" spans="1:16" x14ac:dyDescent="0.25">
      <c r="A30" t="s">
        <v>45</v>
      </c>
      <c r="B30" s="58">
        <v>110000</v>
      </c>
      <c r="C30" s="11" t="s">
        <v>46</v>
      </c>
    </row>
  </sheetData>
  <mergeCells count="28">
    <mergeCell ref="P2:P3"/>
    <mergeCell ref="P4:P5"/>
    <mergeCell ref="H2:H3"/>
    <mergeCell ref="O2:O3"/>
    <mergeCell ref="O4:O5"/>
    <mergeCell ref="K4:K5"/>
    <mergeCell ref="M4:M5"/>
    <mergeCell ref="N4:N5"/>
    <mergeCell ref="J2:J3"/>
    <mergeCell ref="J4:J5"/>
    <mergeCell ref="L2:L3"/>
    <mergeCell ref="L4:L5"/>
    <mergeCell ref="M2:M3"/>
    <mergeCell ref="N2:N3"/>
    <mergeCell ref="A2:A3"/>
    <mergeCell ref="B2:B3"/>
    <mergeCell ref="F2:F3"/>
    <mergeCell ref="G2:G3"/>
    <mergeCell ref="C2:C3"/>
    <mergeCell ref="K2:K3"/>
    <mergeCell ref="B4:B5"/>
    <mergeCell ref="C4:C5"/>
    <mergeCell ref="F4:F5"/>
    <mergeCell ref="G4:G5"/>
    <mergeCell ref="H4:H5"/>
    <mergeCell ref="D2:E2"/>
    <mergeCell ref="I4:I5"/>
    <mergeCell ref="I2:I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landscape" r:id="rId1"/>
  <rowBreaks count="1" manualBreakCount="1">
    <brk id="21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ZŠ včetně odpisů</vt:lpstr>
      <vt:lpstr>List1</vt:lpstr>
      <vt:lpstr>'ZŠ včetně odpisů'!Oblast_tisku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Hoffmanová Hana</dc:creator>
  <cp:lastModifiedBy>Pilařová Kateřina Ing. (P8)</cp:lastModifiedBy>
  <cp:lastPrinted>2026-01-21T13:08:15Z</cp:lastPrinted>
  <dcterms:created xsi:type="dcterms:W3CDTF">2015-06-16T06:06:27Z</dcterms:created>
  <dcterms:modified xsi:type="dcterms:W3CDTF">2026-01-21T13:26:21Z</dcterms:modified>
</cp:coreProperties>
</file>